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Feuil1" sheetId="1" r:id="rId1"/>
    <sheet name="Glossaire" sheetId="2" r:id="rId2"/>
    <sheet name="Feuil2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M19" authorId="0">
      <text>
        <r>
          <rPr>
            <sz val="8"/>
            <rFont val="Tahoma"/>
            <family val="2"/>
          </rPr>
          <t>54 Mbit/s théhorique</t>
        </r>
      </text>
    </comment>
    <comment ref="M13" authorId="0">
      <text>
        <r>
          <rPr>
            <sz val="8"/>
            <rFont val="Tahoma"/>
            <family val="2"/>
          </rPr>
          <t>11 Mbit/s théhorique</t>
        </r>
      </text>
    </comment>
    <comment ref="M18" authorId="0">
      <text>
        <r>
          <rPr>
            <sz val="8"/>
            <rFont val="Tahoma"/>
            <family val="2"/>
          </rPr>
          <t>54 Mbit/s théhorique</t>
        </r>
      </text>
    </comment>
  </commentList>
</comments>
</file>

<file path=xl/sharedStrings.xml><?xml version="1.0" encoding="utf-8"?>
<sst xmlns="http://schemas.openxmlformats.org/spreadsheetml/2006/main" count="233" uniqueCount="168">
  <si>
    <t>modem</t>
  </si>
  <si>
    <t>ADSL</t>
  </si>
  <si>
    <t>offre</t>
  </si>
  <si>
    <t>Up load</t>
  </si>
  <si>
    <t>802.11b</t>
  </si>
  <si>
    <t xml:space="preserve">300 mètres </t>
  </si>
  <si>
    <t>802.11g</t>
  </si>
  <si>
    <t>802.11a</t>
  </si>
  <si>
    <t>serie</t>
  </si>
  <si>
    <t>//</t>
  </si>
  <si>
    <t>USB 2</t>
  </si>
  <si>
    <t>Apple Talk</t>
  </si>
  <si>
    <t>Sata</t>
  </si>
  <si>
    <t>IDE</t>
  </si>
  <si>
    <t>SCSI</t>
  </si>
  <si>
    <t>USB 2 hight</t>
  </si>
  <si>
    <t>clavier - souris</t>
  </si>
  <si>
    <t>USB low</t>
  </si>
  <si>
    <t>USB 2 full</t>
  </si>
  <si>
    <t>RS232</t>
  </si>
  <si>
    <t>300 m</t>
  </si>
  <si>
    <t>SCSI - 1</t>
  </si>
  <si>
    <t>SCSI - 2</t>
  </si>
  <si>
    <t>SCSI - 3</t>
  </si>
  <si>
    <t>Wide SCSI</t>
  </si>
  <si>
    <t>Fast SCSI</t>
  </si>
  <si>
    <t>Fast Wide SCSI</t>
  </si>
  <si>
    <t>Ultra SCSI</t>
  </si>
  <si>
    <t>Ultra Wide SCSI</t>
  </si>
  <si>
    <t>Ultra2 SCSI</t>
  </si>
  <si>
    <t>Ultra2 Wide SCSI</t>
  </si>
  <si>
    <t>Ultra3 SCSI</t>
  </si>
  <si>
    <t>Ultra3 Wide SCSI</t>
  </si>
  <si>
    <t>Ultra-320 SCSI</t>
  </si>
  <si>
    <t>Ultra-640 SCSI</t>
  </si>
  <si>
    <t>6 m</t>
  </si>
  <si>
    <t>1,5 m</t>
  </si>
  <si>
    <t>3 m</t>
  </si>
  <si>
    <t>12 m</t>
  </si>
  <si>
    <t>25 m</t>
  </si>
  <si>
    <t>bit</t>
  </si>
  <si>
    <t>byte</t>
  </si>
  <si>
    <t>octet</t>
  </si>
  <si>
    <t>binary digit</t>
  </si>
  <si>
    <t>8 bits</t>
  </si>
  <si>
    <t>1 ou 0</t>
  </si>
  <si>
    <t>o</t>
  </si>
  <si>
    <t>Mo</t>
  </si>
  <si>
    <t>Ko</t>
  </si>
  <si>
    <t>Go</t>
  </si>
  <si>
    <t>To</t>
  </si>
  <si>
    <t>kilo</t>
  </si>
  <si>
    <t>méga</t>
  </si>
  <si>
    <t>giga</t>
  </si>
  <si>
    <t>tera</t>
  </si>
  <si>
    <t>= octet</t>
  </si>
  <si>
    <t>b</t>
  </si>
  <si>
    <t>B</t>
  </si>
  <si>
    <t>download</t>
  </si>
  <si>
    <t>Ethernet</t>
  </si>
  <si>
    <t>Firewire</t>
  </si>
  <si>
    <t>54 Mbit/s théorique</t>
  </si>
  <si>
    <t>11 Mbit/s théorique</t>
  </si>
  <si>
    <t>Calcul du taux de transfert (Théorique)</t>
  </si>
  <si>
    <t>Données</t>
  </si>
  <si>
    <t>Liaison</t>
  </si>
  <si>
    <t>USB 1</t>
  </si>
  <si>
    <t>Ethernet 10</t>
  </si>
  <si>
    <t>Ethernet 100</t>
  </si>
  <si>
    <t>Ethernet 1000</t>
  </si>
  <si>
    <t>Résultat</t>
  </si>
  <si>
    <t>Disquette 1,44</t>
  </si>
  <si>
    <t>Définition</t>
  </si>
  <si>
    <t>bit/s</t>
  </si>
  <si>
    <t>o/s</t>
  </si>
  <si>
    <t>Distance</t>
  </si>
  <si>
    <t>Commentaire</t>
  </si>
  <si>
    <t>Description</t>
  </si>
  <si>
    <t>jj:hh:mm:ss</t>
  </si>
  <si>
    <t>CD 1x</t>
  </si>
  <si>
    <t>CD 2x</t>
  </si>
  <si>
    <t>CD 4x</t>
  </si>
  <si>
    <t>CD 8x</t>
  </si>
  <si>
    <t>CD 12x</t>
  </si>
  <si>
    <t>CD 16x</t>
  </si>
  <si>
    <t>CD 52x</t>
  </si>
  <si>
    <t>CD 32x</t>
  </si>
  <si>
    <t>CD 48x</t>
  </si>
  <si>
    <t>Direct Memory Access</t>
  </si>
  <si>
    <t>PIO</t>
  </si>
  <si>
    <t>UDMA 0</t>
  </si>
  <si>
    <t>UDMA 1</t>
  </si>
  <si>
    <t>UDMA 3</t>
  </si>
  <si>
    <t>UDMA 2 (Ultra-ATA/33)</t>
  </si>
  <si>
    <t>UDMA 4 (Ultra-ATA/66)</t>
  </si>
  <si>
    <t>UDMA 5 (Ultra-ATA/100)</t>
  </si>
  <si>
    <t>UDMA 6 (Ultra-ATA/133)</t>
  </si>
  <si>
    <t>DMA 0 (single word)</t>
  </si>
  <si>
    <t>DMA 1 (single word)</t>
  </si>
  <si>
    <t>DMA 2 (single word)</t>
  </si>
  <si>
    <t>DMA 0 (Multiword)</t>
  </si>
  <si>
    <t>DMA 1 (Multiword)</t>
  </si>
  <si>
    <t>DMA 2 (Multiword)</t>
  </si>
  <si>
    <t xml:space="preserve">Programmed Input/ Output </t>
  </si>
  <si>
    <t>DMA</t>
  </si>
  <si>
    <t xml:space="preserve">Advanced  Technology Attachment    </t>
  </si>
  <si>
    <t>ATA</t>
  </si>
  <si>
    <t xml:space="preserve">Interface Drive  Electronics </t>
  </si>
  <si>
    <t>(=8xo/s)</t>
  </si>
  <si>
    <t>PIO Mode 0</t>
  </si>
  <si>
    <t>PIO Mode 1</t>
  </si>
  <si>
    <t>PIO Mode 2</t>
  </si>
  <si>
    <t>PIO Mode 3</t>
  </si>
  <si>
    <t>PIO Mode 4</t>
  </si>
  <si>
    <t>Temps</t>
  </si>
  <si>
    <t xml:space="preserve">version 1 (IEEE 1394a-s100) </t>
  </si>
  <si>
    <t>Fire Wire</t>
  </si>
  <si>
    <t xml:space="preserve">version 1 (IEEE 1394a-s200) </t>
  </si>
  <si>
    <t>version 1 (IEEE 1394a-s400)</t>
  </si>
  <si>
    <t xml:space="preserve">version 2 (IEEE 1394b-s800) </t>
  </si>
  <si>
    <t>version 2 (IEEE 1394b-s1200)</t>
  </si>
  <si>
    <t>version 2 (IEEE 1394b-s1600)</t>
  </si>
  <si>
    <t>version 2 (IEEE 1394b-s3200)</t>
  </si>
  <si>
    <t>S-ATA (2003)</t>
  </si>
  <si>
    <t>S-ATA II</t>
  </si>
  <si>
    <t>2009</t>
  </si>
  <si>
    <t>USB 1.1</t>
  </si>
  <si>
    <t>B/s</t>
  </si>
  <si>
    <t>KiB/s</t>
  </si>
  <si>
    <t>Mbps</t>
  </si>
  <si>
    <t>USB 3</t>
  </si>
  <si>
    <t>kB = 1kB = 1000 Byte</t>
  </si>
  <si>
    <t>kb = 1kb = 1000 Bite</t>
  </si>
  <si>
    <t>Kibibit = 1Kibit = 1024 Bit</t>
  </si>
  <si>
    <t>Kibibyte = 1 KiB = 1024 Byte</t>
  </si>
  <si>
    <t>26,26kB/s</t>
  </si>
  <si>
    <t>211Mb/s</t>
  </si>
  <si>
    <t>201Mibit/s</t>
  </si>
  <si>
    <t>25MiB/s</t>
  </si>
  <si>
    <t>liason NAS W7</t>
  </si>
  <si>
    <t>Kilo bite</t>
  </si>
  <si>
    <t>kibit bit</t>
  </si>
  <si>
    <t>kilo byte</t>
  </si>
  <si>
    <t>kibi byte</t>
  </si>
  <si>
    <t>37Mo/s</t>
  </si>
  <si>
    <t>Disque USB</t>
  </si>
  <si>
    <t>450 Mo/s</t>
  </si>
  <si>
    <t>Disque à disque</t>
  </si>
  <si>
    <t>80 Mo/s</t>
  </si>
  <si>
    <t>Internet</t>
  </si>
  <si>
    <t>17 Mo/s</t>
  </si>
  <si>
    <t>XP vers NAS</t>
  </si>
  <si>
    <t>200 Mo/s</t>
  </si>
  <si>
    <t>300 Ko/s</t>
  </si>
  <si>
    <t>Weetranfert</t>
  </si>
  <si>
    <t>1 octet</t>
  </si>
  <si>
    <t>1024 octets</t>
  </si>
  <si>
    <t>kibi</t>
  </si>
  <si>
    <t>mébi</t>
  </si>
  <si>
    <t>gibi</t>
  </si>
  <si>
    <t>1 048 576 octets</t>
  </si>
  <si>
    <t>1 073 741 824 octets</t>
  </si>
  <si>
    <t>1 099 511 627 776  octets</t>
  </si>
  <si>
    <t>ko</t>
  </si>
  <si>
    <t>WiFi a (802.11a)</t>
  </si>
  <si>
    <t>WiFi B (802.11b)</t>
  </si>
  <si>
    <t>WiFi G (802.11g)</t>
  </si>
  <si>
    <t>WiFi N (802.11n)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</si>
</sst>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Kbit/s&quot;"/>
    <numFmt numFmtId="165" formatCode="General&quot; Mbit/s&quot;"/>
    <numFmt numFmtId="166" formatCode="General&quot; Ko/s&quot;"/>
    <numFmt numFmtId="167" formatCode="#,##0&quot; Kbits/s&quot;"/>
    <numFmt numFmtId="168" formatCode="#,##0.0&quot; Kbits/s&quot;"/>
    <numFmt numFmtId="169" formatCode="General&quot; Mo/s&quot;"/>
    <numFmt numFmtId="170" formatCode="[$-F400]h:mm:ss\ AM/PM"/>
    <numFmt numFmtId="171" formatCode="dd:hh:mm:ss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8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4" borderId="19" xfId="0" applyFill="1" applyBorder="1" applyAlignment="1">
      <alignment/>
    </xf>
    <xf numFmtId="167" fontId="0" fillId="0" borderId="16" xfId="0" applyNumberFormat="1" applyBorder="1" applyAlignment="1">
      <alignment/>
    </xf>
    <xf numFmtId="164" fontId="3" fillId="35" borderId="19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0" borderId="0" xfId="0" applyFont="1" applyAlignment="1">
      <alignment/>
    </xf>
    <xf numFmtId="0" fontId="3" fillId="36" borderId="19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165" fontId="3" fillId="35" borderId="19" xfId="0" applyNumberFormat="1" applyFont="1" applyFill="1" applyBorder="1" applyAlignment="1">
      <alignment horizontal="center"/>
    </xf>
    <xf numFmtId="169" fontId="3" fillId="35" borderId="19" xfId="0" applyNumberFormat="1" applyFont="1" applyFill="1" applyBorder="1" applyAlignment="1">
      <alignment horizontal="center"/>
    </xf>
    <xf numFmtId="166" fontId="3" fillId="35" borderId="19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167" fontId="0" fillId="34" borderId="19" xfId="0" applyNumberFormat="1" applyFill="1" applyBorder="1" applyAlignment="1">
      <alignment/>
    </xf>
    <xf numFmtId="166" fontId="0" fillId="34" borderId="19" xfId="0" applyNumberFormat="1" applyFill="1" applyBorder="1" applyAlignment="1">
      <alignment/>
    </xf>
    <xf numFmtId="167" fontId="0" fillId="34" borderId="19" xfId="0" applyNumberFormat="1" applyFill="1" applyBorder="1" applyAlignment="1" quotePrefix="1">
      <alignment/>
    </xf>
    <xf numFmtId="0" fontId="0" fillId="0" borderId="21" xfId="0" applyFill="1" applyBorder="1" applyAlignment="1">
      <alignment/>
    </xf>
    <xf numFmtId="167" fontId="0" fillId="0" borderId="21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165" fontId="0" fillId="0" borderId="17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 quotePrefix="1">
      <alignment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1" fontId="5" fillId="37" borderId="17" xfId="0" applyNumberFormat="1" applyFont="1" applyFill="1" applyBorder="1" applyAlignment="1">
      <alignment/>
    </xf>
    <xf numFmtId="171" fontId="5" fillId="37" borderId="24" xfId="0" applyNumberFormat="1" applyFont="1" applyFill="1" applyBorder="1" applyAlignment="1">
      <alignment/>
    </xf>
    <xf numFmtId="171" fontId="6" fillId="37" borderId="17" xfId="0" applyNumberFormat="1" applyFont="1" applyFill="1" applyBorder="1" applyAlignment="1">
      <alignment/>
    </xf>
    <xf numFmtId="171" fontId="3" fillId="37" borderId="18" xfId="0" applyNumberFormat="1" applyFont="1" applyFill="1" applyBorder="1" applyAlignment="1">
      <alignment/>
    </xf>
    <xf numFmtId="171" fontId="4" fillId="37" borderId="18" xfId="0" applyNumberFormat="1" applyFont="1" applyFill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169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9" fontId="0" fillId="0" borderId="18" xfId="0" applyNumberFormat="1" applyBorder="1" applyAlignment="1">
      <alignment/>
    </xf>
    <xf numFmtId="0" fontId="1" fillId="0" borderId="0" xfId="0" applyFont="1" applyAlignment="1" quotePrefix="1">
      <alignment horizontal="center"/>
    </xf>
    <xf numFmtId="171" fontId="4" fillId="37" borderId="24" xfId="0" applyNumberFormat="1" applyFont="1" applyFill="1" applyBorder="1" applyAlignment="1">
      <alignment/>
    </xf>
    <xf numFmtId="171" fontId="4" fillId="37" borderId="17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165" fontId="0" fillId="34" borderId="24" xfId="0" applyNumberFormat="1" applyFill="1" applyBorder="1" applyAlignment="1">
      <alignment/>
    </xf>
    <xf numFmtId="169" fontId="0" fillId="34" borderId="24" xfId="0" applyNumberFormat="1" applyFill="1" applyBorder="1" applyAlignment="1">
      <alignment/>
    </xf>
    <xf numFmtId="165" fontId="0" fillId="34" borderId="17" xfId="0" applyNumberFormat="1" applyFill="1" applyBorder="1" applyAlignment="1">
      <alignment/>
    </xf>
    <xf numFmtId="169" fontId="0" fillId="34" borderId="17" xfId="0" applyNumberFormat="1" applyFill="1" applyBorder="1" applyAlignment="1">
      <alignment/>
    </xf>
    <xf numFmtId="165" fontId="0" fillId="34" borderId="18" xfId="0" applyNumberFormat="1" applyFill="1" applyBorder="1" applyAlignment="1">
      <alignment/>
    </xf>
    <xf numFmtId="169" fontId="0" fillId="34" borderId="18" xfId="0" applyNumberFormat="1" applyFill="1" applyBorder="1" applyAlignment="1">
      <alignment/>
    </xf>
    <xf numFmtId="169" fontId="0" fillId="34" borderId="15" xfId="0" applyNumberFormat="1" applyFill="1" applyBorder="1" applyAlignment="1">
      <alignment/>
    </xf>
    <xf numFmtId="169" fontId="0" fillId="34" borderId="16" xfId="0" applyNumberFormat="1" applyFill="1" applyBorder="1" applyAlignment="1">
      <alignment/>
    </xf>
    <xf numFmtId="168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167" fontId="0" fillId="0" borderId="17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4" fillId="0" borderId="17" xfId="0" applyFont="1" applyBorder="1" applyAlignment="1">
      <alignment/>
    </xf>
    <xf numFmtId="167" fontId="0" fillId="0" borderId="18" xfId="0" applyNumberFormat="1" applyBorder="1" applyAlignment="1">
      <alignment/>
    </xf>
    <xf numFmtId="166" fontId="0" fillId="0" borderId="18" xfId="0" applyNumberFormat="1" applyBorder="1" applyAlignment="1">
      <alignment/>
    </xf>
    <xf numFmtId="167" fontId="0" fillId="33" borderId="18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7" fontId="0" fillId="33" borderId="17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165" fontId="0" fillId="33" borderId="17" xfId="0" applyNumberFormat="1" applyFill="1" applyBorder="1" applyAlignment="1">
      <alignment/>
    </xf>
    <xf numFmtId="169" fontId="0" fillId="33" borderId="17" xfId="0" applyNumberFormat="1" applyFill="1" applyBorder="1" applyAlignment="1">
      <alignment/>
    </xf>
    <xf numFmtId="0" fontId="4" fillId="0" borderId="18" xfId="0" applyFont="1" applyBorder="1" applyAlignment="1">
      <alignment/>
    </xf>
    <xf numFmtId="166" fontId="0" fillId="34" borderId="24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0" fontId="0" fillId="0" borderId="0" xfId="0" applyAlignment="1" quotePrefix="1">
      <alignment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0" fillId="38" borderId="17" xfId="0" applyFill="1" applyBorder="1" applyAlignment="1">
      <alignment/>
    </xf>
    <xf numFmtId="165" fontId="0" fillId="38" borderId="17" xfId="0" applyNumberFormat="1" applyFill="1" applyBorder="1" applyAlignment="1">
      <alignment/>
    </xf>
    <xf numFmtId="169" fontId="0" fillId="38" borderId="17" xfId="0" applyNumberFormat="1" applyFill="1" applyBorder="1" applyAlignment="1">
      <alignment/>
    </xf>
    <xf numFmtId="0" fontId="0" fillId="39" borderId="17" xfId="0" applyFill="1" applyBorder="1" applyAlignment="1">
      <alignment/>
    </xf>
    <xf numFmtId="165" fontId="0" fillId="39" borderId="17" xfId="0" applyNumberFormat="1" applyFill="1" applyBorder="1" applyAlignment="1">
      <alignment/>
    </xf>
    <xf numFmtId="169" fontId="0" fillId="39" borderId="17" xfId="0" applyNumberFormat="1" applyFill="1" applyBorder="1" applyAlignment="1">
      <alignment/>
    </xf>
    <xf numFmtId="0" fontId="2" fillId="39" borderId="17" xfId="0" applyFont="1" applyFill="1" applyBorder="1" applyAlignment="1">
      <alignment/>
    </xf>
    <xf numFmtId="0" fontId="4" fillId="0" borderId="19" xfId="0" applyFont="1" applyBorder="1" applyAlignment="1">
      <alignment/>
    </xf>
    <xf numFmtId="0" fontId="2" fillId="40" borderId="17" xfId="0" applyFont="1" applyFill="1" applyBorder="1" applyAlignment="1">
      <alignment/>
    </xf>
    <xf numFmtId="165" fontId="0" fillId="40" borderId="17" xfId="0" applyNumberFormat="1" applyFill="1" applyBorder="1" applyAlignment="1">
      <alignment/>
    </xf>
    <xf numFmtId="169" fontId="0" fillId="40" borderId="17" xfId="0" applyNumberFormat="1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6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/>
    </xf>
    <xf numFmtId="166" fontId="0" fillId="34" borderId="20" xfId="0" applyNumberFormat="1" applyFill="1" applyBorder="1" applyAlignment="1">
      <alignment horizontal="right"/>
    </xf>
    <xf numFmtId="166" fontId="0" fillId="34" borderId="21" xfId="0" applyNumberFormat="1" applyFill="1" applyBorder="1" applyAlignment="1">
      <alignment horizontal="right"/>
    </xf>
    <xf numFmtId="167" fontId="0" fillId="34" borderId="20" xfId="0" applyNumberFormat="1" applyFill="1" applyBorder="1" applyAlignment="1">
      <alignment horizontal="right"/>
    </xf>
    <xf numFmtId="167" fontId="0" fillId="34" borderId="21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171" fontId="3" fillId="37" borderId="24" xfId="0" applyNumberFormat="1" applyFont="1" applyFill="1" applyBorder="1" applyAlignment="1">
      <alignment/>
    </xf>
    <xf numFmtId="0" fontId="43" fillId="34" borderId="24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43" fillId="34" borderId="18" xfId="0" applyFont="1" applyFill="1" applyBorder="1" applyAlignment="1">
      <alignment/>
    </xf>
    <xf numFmtId="171" fontId="3" fillId="37" borderId="17" xfId="0" applyNumberFormat="1" applyFont="1" applyFill="1" applyBorder="1" applyAlignment="1">
      <alignment/>
    </xf>
    <xf numFmtId="0" fontId="0" fillId="41" borderId="17" xfId="0" applyFont="1" applyFill="1" applyBorder="1" applyAlignment="1">
      <alignment/>
    </xf>
    <xf numFmtId="165" fontId="0" fillId="41" borderId="17" xfId="0" applyNumberFormat="1" applyFill="1" applyBorder="1" applyAlignment="1">
      <alignment/>
    </xf>
    <xf numFmtId="169" fontId="0" fillId="41" borderId="17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7"/>
  <sheetViews>
    <sheetView tabSelected="1" zoomScalePageLayoutView="0" workbookViewId="0" topLeftCell="A10">
      <selection activeCell="N31" sqref="N31"/>
    </sheetView>
  </sheetViews>
  <sheetFormatPr defaultColWidth="11.421875" defaultRowHeight="12.75"/>
  <cols>
    <col min="1" max="1" width="3.7109375" style="21" customWidth="1"/>
    <col min="2" max="2" width="9.28125" style="21" customWidth="1"/>
    <col min="3" max="3" width="5.8515625" style="21" customWidth="1"/>
    <col min="4" max="4" width="17.28125" style="21" customWidth="1"/>
    <col min="5" max="5" width="13.00390625" style="21" customWidth="1"/>
    <col min="6" max="6" width="5.00390625" style="21" customWidth="1"/>
    <col min="7" max="7" width="17.7109375" style="21" bestFit="1" customWidth="1"/>
    <col min="8" max="10" width="11.421875" style="21" customWidth="1"/>
    <col min="11" max="11" width="5.421875" style="21" customWidth="1"/>
    <col min="12" max="12" width="29.28125" style="21" bestFit="1" customWidth="1"/>
    <col min="13" max="13" width="13.00390625" style="21" bestFit="1" customWidth="1"/>
    <col min="14" max="14" width="10.421875" style="21" customWidth="1"/>
    <col min="15" max="16" width="17.00390625" style="21" bestFit="1" customWidth="1"/>
    <col min="17" max="17" width="10.8515625" style="21" bestFit="1" customWidth="1"/>
    <col min="18" max="19" width="5.28125" style="21" customWidth="1"/>
    <col min="20" max="20" width="4.421875" style="21" bestFit="1" customWidth="1"/>
    <col min="21" max="21" width="12.00390625" style="21" bestFit="1" customWidth="1"/>
    <col min="22" max="16384" width="11.421875" style="21" customWidth="1"/>
  </cols>
  <sheetData>
    <row r="1" ht="14.25">
      <c r="M1" s="77" t="s">
        <v>108</v>
      </c>
    </row>
    <row r="2" spans="2:21" ht="15">
      <c r="B2" s="18" t="s">
        <v>63</v>
      </c>
      <c r="C2" s="19"/>
      <c r="D2" s="19"/>
      <c r="E2" s="20"/>
      <c r="G2" s="33" t="s">
        <v>72</v>
      </c>
      <c r="H2" s="19"/>
      <c r="I2" s="19"/>
      <c r="J2" s="20"/>
      <c r="L2" s="41" t="s">
        <v>77</v>
      </c>
      <c r="M2" s="41" t="s">
        <v>73</v>
      </c>
      <c r="N2" s="41" t="s">
        <v>74</v>
      </c>
      <c r="O2" s="41" t="s">
        <v>114</v>
      </c>
      <c r="P2" s="41" t="s">
        <v>76</v>
      </c>
      <c r="Q2" s="131" t="s">
        <v>75</v>
      </c>
      <c r="R2" s="132"/>
      <c r="S2" s="133"/>
      <c r="T2" s="42"/>
      <c r="U2" s="43"/>
    </row>
    <row r="3" spans="12:21" ht="14.25">
      <c r="L3" s="54" t="s">
        <v>17</v>
      </c>
      <c r="M3" s="94">
        <v>1.5</v>
      </c>
      <c r="N3" s="95">
        <f>M3/8</f>
        <v>0.1875</v>
      </c>
      <c r="O3" s="73"/>
      <c r="P3" s="54" t="s">
        <v>16</v>
      </c>
      <c r="Q3" s="1"/>
      <c r="R3" s="44"/>
      <c r="S3" s="8"/>
      <c r="T3" s="1"/>
      <c r="U3" s="8"/>
    </row>
    <row r="4" spans="2:21" ht="15">
      <c r="B4" s="129" t="s">
        <v>64</v>
      </c>
      <c r="C4" s="130"/>
      <c r="D4" s="22" t="s">
        <v>65</v>
      </c>
      <c r="E4" s="23" t="s">
        <v>70</v>
      </c>
      <c r="G4" s="15" t="s">
        <v>40</v>
      </c>
      <c r="H4" s="34" t="s">
        <v>56</v>
      </c>
      <c r="I4" s="35" t="s">
        <v>43</v>
      </c>
      <c r="J4" s="36" t="s">
        <v>45</v>
      </c>
      <c r="L4" s="55" t="s">
        <v>8</v>
      </c>
      <c r="M4" s="96"/>
      <c r="N4" s="97"/>
      <c r="O4" s="98"/>
      <c r="P4" s="55" t="s">
        <v>19</v>
      </c>
      <c r="Q4" s="4"/>
      <c r="R4" s="6"/>
      <c r="S4" s="9"/>
      <c r="T4" s="4"/>
      <c r="U4" s="9"/>
    </row>
    <row r="5" spans="2:21" ht="15">
      <c r="B5" s="24">
        <v>720368</v>
      </c>
      <c r="C5" s="25" t="s">
        <v>48</v>
      </c>
      <c r="D5" s="26" t="s">
        <v>66</v>
      </c>
      <c r="E5" s="66">
        <f>(B5/1024/1024+B6/1024+B7)/1.5/60</f>
        <v>0.007633293999565972</v>
      </c>
      <c r="G5" s="15" t="s">
        <v>41</v>
      </c>
      <c r="H5" s="34" t="s">
        <v>57</v>
      </c>
      <c r="I5" s="37" t="s">
        <v>55</v>
      </c>
      <c r="J5" s="36" t="s">
        <v>44</v>
      </c>
      <c r="L5" s="55" t="s">
        <v>0</v>
      </c>
      <c r="M5" s="96">
        <v>57</v>
      </c>
      <c r="N5" s="97">
        <f>M5/8</f>
        <v>7.125</v>
      </c>
      <c r="O5" s="98"/>
      <c r="P5" s="55"/>
      <c r="Q5" s="4"/>
      <c r="R5" s="6"/>
      <c r="S5" s="9"/>
      <c r="T5" s="4"/>
      <c r="U5" s="9"/>
    </row>
    <row r="6" spans="2:21" ht="15">
      <c r="B6" s="24"/>
      <c r="C6" s="25" t="s">
        <v>47</v>
      </c>
      <c r="D6" s="125" t="s">
        <v>10</v>
      </c>
      <c r="E6" s="67">
        <f>(B5/1024/1024+B6/1024+B7)/60/60</f>
        <v>0.0001908323499891493</v>
      </c>
      <c r="G6" s="15" t="s">
        <v>42</v>
      </c>
      <c r="H6" s="35" t="s">
        <v>46</v>
      </c>
      <c r="I6" s="36"/>
      <c r="J6" s="36" t="s">
        <v>44</v>
      </c>
      <c r="L6" s="62" t="s">
        <v>9</v>
      </c>
      <c r="M6" s="96"/>
      <c r="N6" s="97"/>
      <c r="O6" s="98"/>
      <c r="P6" s="55"/>
      <c r="Q6" s="4"/>
      <c r="R6" s="6"/>
      <c r="S6" s="9"/>
      <c r="T6" s="4"/>
      <c r="U6" s="9"/>
    </row>
    <row r="7" spans="2:21" ht="15">
      <c r="B7" s="24"/>
      <c r="C7" s="25" t="s">
        <v>49</v>
      </c>
      <c r="D7" s="126" t="s">
        <v>130</v>
      </c>
      <c r="E7" s="67">
        <f>(B5/1024/1024+B6/1024+B7)/400/60</f>
        <v>2.8624852498372397E-05</v>
      </c>
      <c r="G7" s="38"/>
      <c r="H7" s="39"/>
      <c r="I7" s="40"/>
      <c r="J7" s="38"/>
      <c r="L7" s="55" t="s">
        <v>18</v>
      </c>
      <c r="M7" s="96">
        <v>12</v>
      </c>
      <c r="N7" s="97">
        <f>M7/8</f>
        <v>1.5</v>
      </c>
      <c r="O7" s="98"/>
      <c r="P7" s="55"/>
      <c r="Q7" s="4"/>
      <c r="R7" s="6"/>
      <c r="S7" s="9"/>
      <c r="T7" s="4"/>
      <c r="U7" s="9"/>
    </row>
    <row r="8" spans="3:21" ht="15">
      <c r="C8" s="28"/>
      <c r="D8" s="27" t="s">
        <v>67</v>
      </c>
      <c r="E8" s="65">
        <f>((B5/1024/1024+B6/1024+B7)/1.25)/60</f>
        <v>0.009159952799479168</v>
      </c>
      <c r="G8" s="15" t="s">
        <v>46</v>
      </c>
      <c r="H8" s="35" t="s">
        <v>42</v>
      </c>
      <c r="I8" s="36" t="s">
        <v>155</v>
      </c>
      <c r="J8" s="36" t="s">
        <v>44</v>
      </c>
      <c r="L8" s="55" t="s">
        <v>11</v>
      </c>
      <c r="M8" s="96">
        <v>230</v>
      </c>
      <c r="N8" s="97">
        <f>M8/8</f>
        <v>28.75</v>
      </c>
      <c r="O8" s="98"/>
      <c r="P8" s="55"/>
      <c r="Q8" s="4" t="s">
        <v>20</v>
      </c>
      <c r="R8" s="6"/>
      <c r="S8" s="9"/>
      <c r="T8" s="4"/>
      <c r="U8" s="9"/>
    </row>
    <row r="9" spans="3:21" ht="15">
      <c r="C9" s="28"/>
      <c r="D9" s="29" t="s">
        <v>68</v>
      </c>
      <c r="E9" s="67">
        <f>(B5/1024/1024+B6/1024+B7)/12.5/60</f>
        <v>0.0009159952799479167</v>
      </c>
      <c r="G9" s="15" t="s">
        <v>48</v>
      </c>
      <c r="H9" s="35" t="s">
        <v>51</v>
      </c>
      <c r="I9" s="136" t="s">
        <v>156</v>
      </c>
      <c r="J9" s="140"/>
      <c r="L9" s="14" t="s">
        <v>71</v>
      </c>
      <c r="M9" s="99">
        <v>500</v>
      </c>
      <c r="N9" s="100">
        <f>M9/8</f>
        <v>62.5</v>
      </c>
      <c r="O9" s="107"/>
      <c r="P9" s="56"/>
      <c r="Q9" s="2"/>
      <c r="R9" s="5"/>
      <c r="S9" s="10"/>
      <c r="T9" s="2"/>
      <c r="U9" s="10"/>
    </row>
    <row r="10" spans="4:21" ht="15">
      <c r="D10" s="126" t="s">
        <v>69</v>
      </c>
      <c r="E10" s="68">
        <f>(B5/1024/1024+B6/1024+B7)/125/60</f>
        <v>9.159952799479168E-05</v>
      </c>
      <c r="G10" s="15" t="s">
        <v>47</v>
      </c>
      <c r="H10" s="35" t="s">
        <v>52</v>
      </c>
      <c r="I10" s="136" t="s">
        <v>160</v>
      </c>
      <c r="J10" s="140"/>
      <c r="L10" s="55" t="s">
        <v>1</v>
      </c>
      <c r="M10" s="96">
        <v>16648</v>
      </c>
      <c r="N10" s="97">
        <v>470</v>
      </c>
      <c r="O10" s="98"/>
      <c r="P10" s="55" t="s">
        <v>58</v>
      </c>
      <c r="Q10" s="4"/>
      <c r="R10" s="6"/>
      <c r="S10" s="9"/>
      <c r="T10" s="4" t="s">
        <v>2</v>
      </c>
      <c r="U10" s="16">
        <v>512</v>
      </c>
    </row>
    <row r="11" spans="4:21" ht="15">
      <c r="D11" s="142" t="s">
        <v>164</v>
      </c>
      <c r="E11" s="141">
        <f>(B$5/1024/1024+B$6/1024+B$7)/6.75/60</f>
        <v>0.0016962875554591048</v>
      </c>
      <c r="G11" s="15" t="s">
        <v>49</v>
      </c>
      <c r="H11" s="35" t="s">
        <v>53</v>
      </c>
      <c r="I11" s="136" t="s">
        <v>161</v>
      </c>
      <c r="J11" s="140"/>
      <c r="L11" s="55" t="s">
        <v>1</v>
      </c>
      <c r="M11" s="96">
        <v>4200</v>
      </c>
      <c r="N11" s="97">
        <v>550</v>
      </c>
      <c r="O11" s="98"/>
      <c r="P11" s="55" t="s">
        <v>58</v>
      </c>
      <c r="Q11" s="4"/>
      <c r="R11" s="6"/>
      <c r="S11" s="9"/>
      <c r="T11" s="2" t="s">
        <v>2</v>
      </c>
      <c r="U11" s="3">
        <v>1024</v>
      </c>
    </row>
    <row r="12" spans="4:21" ht="15">
      <c r="D12" s="143" t="s">
        <v>165</v>
      </c>
      <c r="E12" s="145">
        <f>(B$5/1024/1024+B$6/1024+B$7)/1.375/60</f>
        <v>0.008327229817708334</v>
      </c>
      <c r="G12" s="15" t="s">
        <v>50</v>
      </c>
      <c r="H12" s="35" t="s">
        <v>54</v>
      </c>
      <c r="I12" s="136" t="s">
        <v>162</v>
      </c>
      <c r="J12" s="140"/>
      <c r="L12" s="63" t="s">
        <v>1</v>
      </c>
      <c r="M12" s="101">
        <v>920</v>
      </c>
      <c r="N12" s="102">
        <v>115</v>
      </c>
      <c r="O12" s="107"/>
      <c r="P12" s="57" t="s">
        <v>3</v>
      </c>
      <c r="Q12" s="45"/>
      <c r="R12" s="7"/>
      <c r="S12" s="46"/>
      <c r="T12" s="45"/>
      <c r="U12" s="46"/>
    </row>
    <row r="13" spans="4:21" ht="15">
      <c r="D13" s="143" t="s">
        <v>166</v>
      </c>
      <c r="E13" s="145">
        <f>(B$5/1024/1024+B$6/1024+B$7)/6.75/60</f>
        <v>0.0016962875554591048</v>
      </c>
      <c r="L13" s="55" t="s">
        <v>4</v>
      </c>
      <c r="M13" s="58">
        <v>6</v>
      </c>
      <c r="N13" s="74">
        <f>M13/8</f>
        <v>0.75</v>
      </c>
      <c r="O13" s="98"/>
      <c r="P13" s="58" t="s">
        <v>62</v>
      </c>
      <c r="Q13" s="4" t="s">
        <v>5</v>
      </c>
      <c r="R13" s="6"/>
      <c r="S13" s="9"/>
      <c r="T13" s="4"/>
      <c r="U13" s="9"/>
    </row>
    <row r="14" spans="4:21" ht="15">
      <c r="D14" s="144" t="s">
        <v>167</v>
      </c>
      <c r="E14" s="68">
        <f>(B$5/1024/1024+B$6/1024+B$7)/55/60</f>
        <v>0.00020818074544270835</v>
      </c>
      <c r="G14" s="15" t="s">
        <v>157</v>
      </c>
      <c r="H14" s="136" t="s">
        <v>156</v>
      </c>
      <c r="I14" s="137"/>
      <c r="J14" s="134"/>
      <c r="L14" s="117" t="s">
        <v>59</v>
      </c>
      <c r="M14" s="118">
        <v>10</v>
      </c>
      <c r="N14" s="119">
        <f>M14/8</f>
        <v>1.25</v>
      </c>
      <c r="O14" s="98"/>
      <c r="P14" s="13"/>
      <c r="Q14" s="11"/>
      <c r="R14" s="47"/>
      <c r="S14" s="12"/>
      <c r="T14" s="11"/>
      <c r="U14" s="12"/>
    </row>
    <row r="15" spans="4:21" ht="15">
      <c r="D15" s="30">
        <v>450</v>
      </c>
      <c r="E15" s="69">
        <f>(B5/1024/1024+B6/1024+B7)/D15*8/60</f>
        <v>0.0002035545066550926</v>
      </c>
      <c r="G15" s="15" t="s">
        <v>158</v>
      </c>
      <c r="H15" s="138" t="s">
        <v>160</v>
      </c>
      <c r="I15" s="139"/>
      <c r="J15" s="135"/>
      <c r="L15" s="146" t="s">
        <v>165</v>
      </c>
      <c r="M15" s="147">
        <v>11</v>
      </c>
      <c r="N15" s="148"/>
      <c r="O15" s="98"/>
      <c r="P15" s="13"/>
      <c r="Q15" s="11"/>
      <c r="R15" s="47"/>
      <c r="S15" s="12"/>
      <c r="T15" s="11"/>
      <c r="U15" s="12"/>
    </row>
    <row r="16" spans="4:21" ht="15">
      <c r="D16" s="31">
        <v>2.1</v>
      </c>
      <c r="E16" s="69">
        <f>(B$5/1024/1024+B$6/1024+B$7)/D16/60</f>
        <v>0.005452352856832837</v>
      </c>
      <c r="G16" s="15" t="s">
        <v>159</v>
      </c>
      <c r="H16" s="138" t="s">
        <v>161</v>
      </c>
      <c r="I16" s="139"/>
      <c r="J16" s="135"/>
      <c r="L16" s="114" t="s">
        <v>126</v>
      </c>
      <c r="M16" s="115">
        <v>12</v>
      </c>
      <c r="N16" s="116">
        <v>1.5</v>
      </c>
      <c r="O16" s="98"/>
      <c r="P16" s="59" t="s">
        <v>58</v>
      </c>
      <c r="Q16" s="48"/>
      <c r="R16" s="49"/>
      <c r="S16" s="50"/>
      <c r="T16" s="48"/>
      <c r="U16" s="50"/>
    </row>
    <row r="17" spans="4:21" ht="15">
      <c r="D17" s="17">
        <v>800</v>
      </c>
      <c r="E17" s="69">
        <f>(B5/1024/1024+B6/1024+B7)/D17*8/60*1000</f>
        <v>0.11449940999348959</v>
      </c>
      <c r="L17" s="64" t="s">
        <v>1</v>
      </c>
      <c r="M17" s="103">
        <v>10224</v>
      </c>
      <c r="N17" s="104">
        <v>1278</v>
      </c>
      <c r="O17" s="98"/>
      <c r="P17" s="59" t="s">
        <v>61</v>
      </c>
      <c r="Q17" s="48"/>
      <c r="R17" s="49"/>
      <c r="S17" s="50"/>
      <c r="T17" s="48"/>
      <c r="U17" s="50"/>
    </row>
    <row r="18" spans="4:21" ht="15">
      <c r="D18" s="32">
        <v>28.75</v>
      </c>
      <c r="E18" s="69">
        <f>(B$5/1024/1024+B$6/1024+B$7)/D18/60*1000</f>
        <v>0.3982588173686594</v>
      </c>
      <c r="L18" s="64" t="s">
        <v>6</v>
      </c>
      <c r="M18" s="105">
        <v>30</v>
      </c>
      <c r="N18" s="106">
        <f>M18/8</f>
        <v>3.75</v>
      </c>
      <c r="O18" s="98"/>
      <c r="P18" s="58" t="s">
        <v>61</v>
      </c>
      <c r="Q18" s="4"/>
      <c r="R18" s="6"/>
      <c r="S18" s="9"/>
      <c r="T18" s="4"/>
      <c r="U18" s="9"/>
    </row>
    <row r="19" spans="2:21" ht="14.25">
      <c r="B19" s="121" t="s">
        <v>73</v>
      </c>
      <c r="E19" s="70" t="s">
        <v>78</v>
      </c>
      <c r="L19" s="55" t="s">
        <v>7</v>
      </c>
      <c r="M19" s="58">
        <v>30</v>
      </c>
      <c r="N19" s="74">
        <f>M19/8</f>
        <v>3.75</v>
      </c>
      <c r="O19" s="98"/>
      <c r="P19" s="55" t="s">
        <v>21</v>
      </c>
      <c r="Q19" s="4" t="s">
        <v>35</v>
      </c>
      <c r="R19" s="6"/>
      <c r="S19" s="9" t="s">
        <v>39</v>
      </c>
      <c r="T19" s="4"/>
      <c r="U19" s="9"/>
    </row>
    <row r="20" spans="2:21" ht="14.25">
      <c r="B20" s="73" t="s">
        <v>74</v>
      </c>
      <c r="E20" s="113"/>
      <c r="G20" s="21">
        <v>720368</v>
      </c>
      <c r="H20" s="21" t="s">
        <v>163</v>
      </c>
      <c r="I20" s="21">
        <f>G20/1024</f>
        <v>703.484375</v>
      </c>
      <c r="J20" s="21" t="s">
        <v>47</v>
      </c>
      <c r="L20" s="55" t="s">
        <v>14</v>
      </c>
      <c r="M20" s="58">
        <f aca="true" t="shared" si="0" ref="M20:M43">N20*8</f>
        <v>40</v>
      </c>
      <c r="N20" s="74">
        <v>5</v>
      </c>
      <c r="O20" s="98"/>
      <c r="P20" s="55" t="s">
        <v>22</v>
      </c>
      <c r="Q20" s="4" t="s">
        <v>37</v>
      </c>
      <c r="R20" s="6"/>
      <c r="S20" s="9" t="s">
        <v>39</v>
      </c>
      <c r="T20" s="4"/>
      <c r="U20" s="9"/>
    </row>
    <row r="21" spans="2:21" ht="15">
      <c r="B21" s="98" t="s">
        <v>127</v>
      </c>
      <c r="D21" s="17">
        <v>206</v>
      </c>
      <c r="E21" s="69">
        <f>(B$5/1000000+B$6/1000+B$7)/D21/60</f>
        <v>5.82822006472492E-05</v>
      </c>
      <c r="G21" s="21">
        <f>G20/1024</f>
        <v>703.484375</v>
      </c>
      <c r="H21" s="21" t="s">
        <v>47</v>
      </c>
      <c r="I21" s="21">
        <f>G21/1024</f>
        <v>0.6869964599609375</v>
      </c>
      <c r="J21" s="21" t="s">
        <v>50</v>
      </c>
      <c r="L21" s="146" t="s">
        <v>164</v>
      </c>
      <c r="M21" s="147">
        <v>54</v>
      </c>
      <c r="N21" s="148">
        <f>M21/8</f>
        <v>6.75</v>
      </c>
      <c r="O21" s="98"/>
      <c r="P21" s="55" t="s">
        <v>22</v>
      </c>
      <c r="Q21" s="4" t="s">
        <v>37</v>
      </c>
      <c r="R21" s="6"/>
      <c r="S21" s="9" t="s">
        <v>39</v>
      </c>
      <c r="T21" s="4"/>
      <c r="U21" s="9"/>
    </row>
    <row r="22" spans="2:21" ht="14.25">
      <c r="B22" s="107" t="s">
        <v>128</v>
      </c>
      <c r="L22" s="146" t="s">
        <v>166</v>
      </c>
      <c r="M22" s="147">
        <v>54</v>
      </c>
      <c r="N22" s="148">
        <f>M22/8</f>
        <v>6.75</v>
      </c>
      <c r="O22" s="98"/>
      <c r="P22" s="59"/>
      <c r="Q22" s="48"/>
      <c r="R22" s="49"/>
      <c r="S22" s="50"/>
      <c r="T22" s="48"/>
      <c r="U22" s="50"/>
    </row>
    <row r="23" spans="2:21" ht="14.25">
      <c r="B23" s="21" t="s">
        <v>129</v>
      </c>
      <c r="G23" s="21">
        <v>720368</v>
      </c>
      <c r="I23" s="21">
        <f>G23/1024/1024</f>
        <v>0.6869964599609375</v>
      </c>
      <c r="L23" s="55" t="s">
        <v>24</v>
      </c>
      <c r="M23" s="58">
        <f t="shared" si="0"/>
        <v>80</v>
      </c>
      <c r="N23" s="74">
        <v>10</v>
      </c>
      <c r="O23" s="98"/>
      <c r="P23" s="55" t="s">
        <v>22</v>
      </c>
      <c r="Q23" s="4" t="s">
        <v>37</v>
      </c>
      <c r="R23" s="6"/>
      <c r="S23" s="9" t="s">
        <v>39</v>
      </c>
      <c r="T23" s="4"/>
      <c r="U23" s="9"/>
    </row>
    <row r="24" spans="12:21" ht="14.25">
      <c r="L24" s="55" t="s">
        <v>25</v>
      </c>
      <c r="M24" s="58">
        <f t="shared" si="0"/>
        <v>80</v>
      </c>
      <c r="N24" s="74">
        <v>10</v>
      </c>
      <c r="O24" s="98"/>
      <c r="P24" s="55" t="s">
        <v>23</v>
      </c>
      <c r="Q24" s="4" t="s">
        <v>36</v>
      </c>
      <c r="R24" s="6"/>
      <c r="S24" s="9" t="s">
        <v>39</v>
      </c>
      <c r="T24" s="4"/>
      <c r="U24" s="9"/>
    </row>
    <row r="25" spans="5:21" ht="14.25">
      <c r="E25"/>
      <c r="L25" s="120" t="s">
        <v>59</v>
      </c>
      <c r="M25" s="118">
        <v>100</v>
      </c>
      <c r="N25" s="119">
        <f>M25/8</f>
        <v>12.5</v>
      </c>
      <c r="O25" s="98"/>
      <c r="P25" s="55" t="s">
        <v>23</v>
      </c>
      <c r="Q25" s="4" t="s">
        <v>37</v>
      </c>
      <c r="R25" s="6"/>
      <c r="S25" s="9" t="s">
        <v>39</v>
      </c>
      <c r="T25" s="4"/>
      <c r="U25" s="9"/>
    </row>
    <row r="26" spans="2:21" ht="14.25">
      <c r="B26" s="21" t="s">
        <v>131</v>
      </c>
      <c r="L26" s="55" t="s">
        <v>26</v>
      </c>
      <c r="M26" s="58">
        <f t="shared" si="0"/>
        <v>160</v>
      </c>
      <c r="N26" s="74">
        <v>20</v>
      </c>
      <c r="O26" s="98"/>
      <c r="P26" s="55" t="s">
        <v>23</v>
      </c>
      <c r="Q26" s="4"/>
      <c r="R26" s="6" t="s">
        <v>38</v>
      </c>
      <c r="S26" s="9" t="s">
        <v>39</v>
      </c>
      <c r="T26" s="4"/>
      <c r="U26" s="9"/>
    </row>
    <row r="27" spans="2:21" ht="14.25">
      <c r="B27" s="21" t="s">
        <v>132</v>
      </c>
      <c r="L27" s="55" t="s">
        <v>27</v>
      </c>
      <c r="M27" s="58">
        <f t="shared" si="0"/>
        <v>160</v>
      </c>
      <c r="N27" s="74">
        <v>20</v>
      </c>
      <c r="O27" s="98"/>
      <c r="P27" s="55"/>
      <c r="Q27" s="4"/>
      <c r="R27" s="6"/>
      <c r="S27" s="9"/>
      <c r="T27" s="4"/>
      <c r="U27" s="9"/>
    </row>
    <row r="28" spans="2:21" ht="14.25">
      <c r="B28" s="21" t="s">
        <v>133</v>
      </c>
      <c r="L28" s="55" t="s">
        <v>28</v>
      </c>
      <c r="M28" s="58">
        <f t="shared" si="0"/>
        <v>320</v>
      </c>
      <c r="N28" s="74">
        <v>40</v>
      </c>
      <c r="O28" s="98"/>
      <c r="P28" s="59"/>
      <c r="Q28" s="48"/>
      <c r="R28" s="49"/>
      <c r="S28" s="50"/>
      <c r="T28" s="48"/>
      <c r="U28" s="50"/>
    </row>
    <row r="29" spans="2:21" ht="14.25">
      <c r="B29" s="21" t="s">
        <v>134</v>
      </c>
      <c r="G29" s="127">
        <v>1000</v>
      </c>
      <c r="H29" s="127">
        <v>10024</v>
      </c>
      <c r="I29" s="127">
        <v>1000</v>
      </c>
      <c r="J29" s="127">
        <v>10024</v>
      </c>
      <c r="L29" s="55" t="s">
        <v>29</v>
      </c>
      <c r="M29" s="58">
        <f t="shared" si="0"/>
        <v>320</v>
      </c>
      <c r="N29" s="74">
        <v>40</v>
      </c>
      <c r="O29" s="98"/>
      <c r="P29" s="55" t="s">
        <v>23</v>
      </c>
      <c r="Q29" s="4"/>
      <c r="R29" s="6" t="s">
        <v>38</v>
      </c>
      <c r="S29" s="9" t="s">
        <v>39</v>
      </c>
      <c r="T29" s="4"/>
      <c r="U29" s="9"/>
    </row>
    <row r="30" spans="7:21" ht="14.25">
      <c r="G30" s="21" t="s">
        <v>140</v>
      </c>
      <c r="H30" s="21" t="s">
        <v>141</v>
      </c>
      <c r="I30" s="21" t="s">
        <v>142</v>
      </c>
      <c r="J30" s="21" t="s">
        <v>143</v>
      </c>
      <c r="L30" s="55" t="s">
        <v>60</v>
      </c>
      <c r="M30" s="58">
        <v>400</v>
      </c>
      <c r="N30" s="74">
        <v>50</v>
      </c>
      <c r="O30" s="98"/>
      <c r="P30" s="55" t="s">
        <v>23</v>
      </c>
      <c r="Q30" s="4"/>
      <c r="R30" s="6" t="s">
        <v>38</v>
      </c>
      <c r="S30" s="9"/>
      <c r="T30" s="4"/>
      <c r="U30" s="9"/>
    </row>
    <row r="31" spans="7:21" ht="14.25">
      <c r="G31" s="21">
        <v>125</v>
      </c>
      <c r="H31" s="21">
        <v>1000</v>
      </c>
      <c r="L31" s="146" t="s">
        <v>167</v>
      </c>
      <c r="M31" s="147">
        <v>450</v>
      </c>
      <c r="N31" s="148">
        <f>M31/8</f>
        <v>56.25</v>
      </c>
      <c r="O31" s="98"/>
      <c r="P31" s="59"/>
      <c r="Q31" s="48"/>
      <c r="R31" s="49"/>
      <c r="S31" s="50"/>
      <c r="T31" s="48"/>
      <c r="U31" s="50"/>
    </row>
    <row r="32" spans="6:21" ht="15">
      <c r="F32" s="128"/>
      <c r="G32" s="128" t="s">
        <v>136</v>
      </c>
      <c r="H32" s="21" t="s">
        <v>137</v>
      </c>
      <c r="I32" s="21" t="s">
        <v>135</v>
      </c>
      <c r="J32" s="21" t="s">
        <v>138</v>
      </c>
      <c r="L32" s="122" t="s">
        <v>15</v>
      </c>
      <c r="M32" s="115">
        <v>480</v>
      </c>
      <c r="N32" s="116">
        <v>60</v>
      </c>
      <c r="O32" s="98"/>
      <c r="P32" s="60"/>
      <c r="Q32" s="51"/>
      <c r="R32" s="52"/>
      <c r="S32" s="53"/>
      <c r="T32" s="51"/>
      <c r="U32" s="53"/>
    </row>
    <row r="33" spans="12:21" ht="14.25">
      <c r="L33" s="55" t="s">
        <v>30</v>
      </c>
      <c r="M33" s="58">
        <f t="shared" si="0"/>
        <v>640</v>
      </c>
      <c r="N33" s="74">
        <v>80</v>
      </c>
      <c r="O33" s="98"/>
      <c r="P33" s="61">
        <v>2003</v>
      </c>
      <c r="Q33" s="4"/>
      <c r="R33" s="6"/>
      <c r="S33" s="9"/>
      <c r="T33" s="4"/>
      <c r="U33" s="9"/>
    </row>
    <row r="34" spans="12:21" ht="14.25">
      <c r="L34" s="55" t="s">
        <v>31</v>
      </c>
      <c r="M34" s="58">
        <f t="shared" si="0"/>
        <v>640</v>
      </c>
      <c r="N34" s="74">
        <v>80</v>
      </c>
      <c r="O34" s="98"/>
      <c r="P34" s="55" t="s">
        <v>23</v>
      </c>
      <c r="Q34" s="4"/>
      <c r="R34" s="6" t="s">
        <v>38</v>
      </c>
      <c r="S34" s="9"/>
      <c r="T34" s="4"/>
      <c r="U34" s="9"/>
    </row>
    <row r="35" spans="12:21" ht="14.25">
      <c r="L35" s="59" t="s">
        <v>13</v>
      </c>
      <c r="M35" s="105">
        <v>800</v>
      </c>
      <c r="N35" s="106">
        <v>100</v>
      </c>
      <c r="O35" s="98"/>
      <c r="P35" s="61">
        <v>2004</v>
      </c>
      <c r="Q35" s="4"/>
      <c r="R35" s="6"/>
      <c r="S35" s="9"/>
      <c r="T35" s="4"/>
      <c r="U35" s="9"/>
    </row>
    <row r="36" spans="5:21" ht="15">
      <c r="E36" s="128" t="s">
        <v>139</v>
      </c>
      <c r="I36" s="21" t="s">
        <v>144</v>
      </c>
      <c r="L36" s="120" t="s">
        <v>59</v>
      </c>
      <c r="M36" s="118">
        <v>1000</v>
      </c>
      <c r="N36" s="119">
        <f>M36/8</f>
        <v>125</v>
      </c>
      <c r="O36" s="98"/>
      <c r="P36" s="55" t="s">
        <v>23</v>
      </c>
      <c r="Q36" s="4"/>
      <c r="R36" s="6" t="s">
        <v>38</v>
      </c>
      <c r="S36" s="9"/>
      <c r="T36" s="4"/>
      <c r="U36" s="9"/>
    </row>
    <row r="37" spans="12:21" ht="14.25">
      <c r="L37" s="55" t="s">
        <v>12</v>
      </c>
      <c r="M37" s="58">
        <f>N37*8</f>
        <v>1200</v>
      </c>
      <c r="N37" s="74">
        <v>150</v>
      </c>
      <c r="O37" s="98"/>
      <c r="P37" s="61">
        <v>2007</v>
      </c>
      <c r="Q37" s="4"/>
      <c r="R37" s="6"/>
      <c r="S37" s="9"/>
      <c r="T37" s="4"/>
      <c r="U37" s="9"/>
    </row>
    <row r="38" spans="9:21" ht="14.25">
      <c r="I38" s="21" t="s">
        <v>146</v>
      </c>
      <c r="L38" s="55" t="s">
        <v>32</v>
      </c>
      <c r="M38" s="58">
        <f t="shared" si="0"/>
        <v>1280</v>
      </c>
      <c r="N38" s="74">
        <v>160</v>
      </c>
      <c r="O38" s="98"/>
      <c r="P38" s="56" t="s">
        <v>23</v>
      </c>
      <c r="Q38" s="2"/>
      <c r="R38" s="5" t="s">
        <v>38</v>
      </c>
      <c r="S38" s="10"/>
      <c r="T38" s="2"/>
      <c r="U38" s="10"/>
    </row>
    <row r="39" spans="9:20" ht="14.25">
      <c r="I39" s="21" t="s">
        <v>148</v>
      </c>
      <c r="L39" s="55" t="s">
        <v>12</v>
      </c>
      <c r="M39" s="58">
        <f>N39*8</f>
        <v>2400</v>
      </c>
      <c r="N39" s="74">
        <v>300</v>
      </c>
      <c r="O39" s="98"/>
      <c r="P39" s="71"/>
      <c r="Q39" s="71"/>
      <c r="R39" s="71"/>
      <c r="S39" s="71"/>
      <c r="T39" s="71"/>
    </row>
    <row r="40" spans="5:20" ht="15">
      <c r="E40" s="128" t="s">
        <v>145</v>
      </c>
      <c r="L40" s="55" t="s">
        <v>33</v>
      </c>
      <c r="M40" s="58">
        <f t="shared" si="0"/>
        <v>2560</v>
      </c>
      <c r="N40" s="74">
        <v>320</v>
      </c>
      <c r="O40" s="98"/>
      <c r="P40" s="72"/>
      <c r="Q40" s="72"/>
      <c r="R40" s="72"/>
      <c r="S40" s="72"/>
      <c r="T40" s="72"/>
    </row>
    <row r="41" spans="9:20" ht="14.25">
      <c r="I41" s="21" t="s">
        <v>150</v>
      </c>
      <c r="L41" s="122" t="s">
        <v>130</v>
      </c>
      <c r="M41" s="123">
        <f t="shared" si="0"/>
        <v>3200</v>
      </c>
      <c r="N41" s="124">
        <v>400</v>
      </c>
      <c r="O41" s="98"/>
      <c r="P41" s="72"/>
      <c r="Q41" s="72"/>
      <c r="R41" s="72"/>
      <c r="S41" s="72"/>
      <c r="T41" s="72"/>
    </row>
    <row r="42" spans="5:20" ht="15">
      <c r="E42" s="128" t="s">
        <v>147</v>
      </c>
      <c r="L42" s="55" t="s">
        <v>12</v>
      </c>
      <c r="M42" s="58">
        <f>N42*8</f>
        <v>4800</v>
      </c>
      <c r="N42" s="74">
        <v>600</v>
      </c>
      <c r="O42" s="98"/>
      <c r="P42" s="72"/>
      <c r="Q42" s="72"/>
      <c r="R42" s="72"/>
      <c r="S42" s="72"/>
      <c r="T42" s="72"/>
    </row>
    <row r="43" spans="9:20" ht="14.25">
      <c r="I43" s="21" t="s">
        <v>152</v>
      </c>
      <c r="L43" s="56" t="s">
        <v>34</v>
      </c>
      <c r="M43" s="75">
        <f t="shared" si="0"/>
        <v>5120</v>
      </c>
      <c r="N43" s="76">
        <v>640</v>
      </c>
      <c r="O43" s="107"/>
      <c r="P43" s="72"/>
      <c r="Q43" s="72"/>
      <c r="R43" s="72"/>
      <c r="S43" s="72"/>
      <c r="T43" s="72"/>
    </row>
    <row r="44" spans="12:20" ht="14.25">
      <c r="L44" s="83" t="s">
        <v>79</v>
      </c>
      <c r="M44" s="86">
        <f aca="true" t="shared" si="1" ref="M44:M49">N44*8</f>
        <v>11.04</v>
      </c>
      <c r="N44" s="87">
        <v>1.38</v>
      </c>
      <c r="O44" s="78">
        <f aca="true" t="shared" si="2" ref="O44:O49">(B$5/1000000+B$6/1000+B$7)/M44*8/60</f>
        <v>0.00870009661835749</v>
      </c>
      <c r="P44" s="72"/>
      <c r="Q44" s="72"/>
      <c r="R44" s="72"/>
      <c r="S44" s="72"/>
      <c r="T44" s="72"/>
    </row>
    <row r="45" spans="5:15" ht="15">
      <c r="E45" s="128" t="s">
        <v>149</v>
      </c>
      <c r="I45" s="21" t="s">
        <v>153</v>
      </c>
      <c r="L45" s="84" t="s">
        <v>80</v>
      </c>
      <c r="M45" s="88">
        <f t="shared" si="1"/>
        <v>22.08</v>
      </c>
      <c r="N45" s="89">
        <v>2.76</v>
      </c>
      <c r="O45" s="79">
        <f t="shared" si="2"/>
        <v>0.004350048309178745</v>
      </c>
    </row>
    <row r="46" spans="12:15" ht="14.25">
      <c r="L46" s="84" t="s">
        <v>81</v>
      </c>
      <c r="M46" s="88">
        <f t="shared" si="1"/>
        <v>42</v>
      </c>
      <c r="N46" s="89">
        <v>5.25</v>
      </c>
      <c r="O46" s="79">
        <f t="shared" si="2"/>
        <v>0.0022868825396825396</v>
      </c>
    </row>
    <row r="47" spans="5:15" ht="15">
      <c r="E47" s="128" t="s">
        <v>151</v>
      </c>
      <c r="L47" s="84" t="s">
        <v>82</v>
      </c>
      <c r="M47" s="88">
        <f t="shared" si="1"/>
        <v>88.32</v>
      </c>
      <c r="N47" s="89">
        <v>11.04</v>
      </c>
      <c r="O47" s="79">
        <f t="shared" si="2"/>
        <v>0.0010875120772946862</v>
      </c>
    </row>
    <row r="48" spans="12:15" ht="14.25">
      <c r="L48" s="84" t="s">
        <v>83</v>
      </c>
      <c r="M48" s="88">
        <f t="shared" si="1"/>
        <v>132.48</v>
      </c>
      <c r="N48" s="89">
        <v>16.56</v>
      </c>
      <c r="O48" s="79">
        <f t="shared" si="2"/>
        <v>0.0007250080515297907</v>
      </c>
    </row>
    <row r="49" spans="5:15" ht="14.25">
      <c r="E49" s="21" t="s">
        <v>154</v>
      </c>
      <c r="L49" s="85" t="s">
        <v>84</v>
      </c>
      <c r="M49" s="90">
        <f t="shared" si="1"/>
        <v>176.64</v>
      </c>
      <c r="N49" s="91">
        <v>22.08</v>
      </c>
      <c r="O49" s="69">
        <f t="shared" si="2"/>
        <v>0.0005437560386473431</v>
      </c>
    </row>
    <row r="50" ht="14.25">
      <c r="O50" s="70" t="s">
        <v>78</v>
      </c>
    </row>
    <row r="51" spans="12:15" ht="14.25">
      <c r="L51" s="83" t="s">
        <v>79</v>
      </c>
      <c r="M51" s="86">
        <f>N51*8/1000</f>
        <v>1.2</v>
      </c>
      <c r="N51" s="108">
        <v>150</v>
      </c>
      <c r="O51" s="78">
        <f aca="true" t="shared" si="3" ref="O51:O59">(B$5/1000000+B$6/1000+B$7)/M51*8/60</f>
        <v>0.08004088888888888</v>
      </c>
    </row>
    <row r="52" spans="12:15" ht="14.25">
      <c r="L52" s="84" t="s">
        <v>80</v>
      </c>
      <c r="M52" s="88">
        <f aca="true" t="shared" si="4" ref="M52:M58">N52*8/1000</f>
        <v>2.4</v>
      </c>
      <c r="N52" s="109">
        <f>150*2</f>
        <v>300</v>
      </c>
      <c r="O52" s="79">
        <f t="shared" si="3"/>
        <v>0.04002044444444444</v>
      </c>
    </row>
    <row r="53" spans="12:15" ht="14.25">
      <c r="L53" s="84" t="s">
        <v>81</v>
      </c>
      <c r="M53" s="88">
        <f t="shared" si="4"/>
        <v>4.8</v>
      </c>
      <c r="N53" s="109">
        <f>150*4</f>
        <v>600</v>
      </c>
      <c r="O53" s="79">
        <f t="shared" si="3"/>
        <v>0.02001022222222222</v>
      </c>
    </row>
    <row r="54" spans="12:15" ht="14.25">
      <c r="L54" s="84" t="s">
        <v>82</v>
      </c>
      <c r="M54" s="88">
        <f t="shared" si="4"/>
        <v>9.6</v>
      </c>
      <c r="N54" s="109">
        <f>150*8</f>
        <v>1200</v>
      </c>
      <c r="O54" s="79">
        <f t="shared" si="3"/>
        <v>0.01000511111111111</v>
      </c>
    </row>
    <row r="55" spans="12:15" ht="14.25">
      <c r="L55" s="84" t="s">
        <v>83</v>
      </c>
      <c r="M55" s="88">
        <f t="shared" si="4"/>
        <v>14.4</v>
      </c>
      <c r="N55" s="109">
        <f>150*12</f>
        <v>1800</v>
      </c>
      <c r="O55" s="79">
        <f t="shared" si="3"/>
        <v>0.006670074074074074</v>
      </c>
    </row>
    <row r="56" spans="12:15" ht="14.25">
      <c r="L56" s="84" t="s">
        <v>84</v>
      </c>
      <c r="M56" s="88">
        <f t="shared" si="4"/>
        <v>19.2</v>
      </c>
      <c r="N56" s="109">
        <f>150*16</f>
        <v>2400</v>
      </c>
      <c r="O56" s="79">
        <f t="shared" si="3"/>
        <v>0.005002555555555555</v>
      </c>
    </row>
    <row r="57" spans="12:15" ht="14.25">
      <c r="L57" s="84" t="s">
        <v>86</v>
      </c>
      <c r="M57" s="88">
        <f t="shared" si="4"/>
        <v>38.4</v>
      </c>
      <c r="N57" s="109">
        <f>150*32</f>
        <v>4800</v>
      </c>
      <c r="O57" s="79">
        <f t="shared" si="3"/>
        <v>0.0025012777777777776</v>
      </c>
    </row>
    <row r="58" spans="12:15" ht="14.25">
      <c r="L58" s="84" t="s">
        <v>87</v>
      </c>
      <c r="M58" s="88">
        <f t="shared" si="4"/>
        <v>57.6</v>
      </c>
      <c r="N58" s="109">
        <f>150*48</f>
        <v>7200</v>
      </c>
      <c r="O58" s="79">
        <f t="shared" si="3"/>
        <v>0.0016675185185185185</v>
      </c>
    </row>
    <row r="59" spans="12:15" ht="14.25">
      <c r="L59" s="85" t="s">
        <v>85</v>
      </c>
      <c r="M59" s="90">
        <f>N59*8/1000</f>
        <v>62.4</v>
      </c>
      <c r="N59" s="110">
        <f>150*52</f>
        <v>7800</v>
      </c>
      <c r="O59" s="69">
        <f t="shared" si="3"/>
        <v>0.0015392478632478633</v>
      </c>
    </row>
    <row r="60" ht="14.25">
      <c r="O60" s="70" t="s">
        <v>78</v>
      </c>
    </row>
    <row r="61" spans="12:15" ht="14.25">
      <c r="L61" s="80" t="s">
        <v>109</v>
      </c>
      <c r="M61" s="86">
        <v>26</v>
      </c>
      <c r="N61" s="87">
        <v>3.3</v>
      </c>
      <c r="O61" s="78">
        <f aca="true" t="shared" si="5" ref="O61:O78">(B$5/1000000+B$6/1000+B$7)/M61*8/60</f>
        <v>0.0036941948717948716</v>
      </c>
    </row>
    <row r="62" spans="12:15" ht="14.25">
      <c r="L62" s="81" t="s">
        <v>110</v>
      </c>
      <c r="M62" s="88">
        <v>42</v>
      </c>
      <c r="N62" s="89">
        <v>5.2</v>
      </c>
      <c r="O62" s="79">
        <f t="shared" si="5"/>
        <v>0.0022868825396825396</v>
      </c>
    </row>
    <row r="63" spans="12:15" ht="14.25">
      <c r="L63" s="81" t="s">
        <v>111</v>
      </c>
      <c r="M63" s="88">
        <v>66</v>
      </c>
      <c r="N63" s="89">
        <v>8.3</v>
      </c>
      <c r="O63" s="79">
        <f t="shared" si="5"/>
        <v>0.0014552888888888888</v>
      </c>
    </row>
    <row r="64" spans="12:15" ht="14.25">
      <c r="L64" s="81" t="s">
        <v>112</v>
      </c>
      <c r="M64" s="88">
        <v>89</v>
      </c>
      <c r="N64" s="89">
        <v>11.1</v>
      </c>
      <c r="O64" s="79">
        <f t="shared" si="5"/>
        <v>0.0010792029962546816</v>
      </c>
    </row>
    <row r="65" spans="12:15" ht="14.25">
      <c r="L65" s="82" t="s">
        <v>113</v>
      </c>
      <c r="M65" s="90">
        <v>134</v>
      </c>
      <c r="N65" s="91">
        <v>16.7</v>
      </c>
      <c r="O65" s="69">
        <f t="shared" si="5"/>
        <v>0.0007167840796019901</v>
      </c>
    </row>
    <row r="66" spans="12:15" ht="14.25">
      <c r="L66" s="80" t="s">
        <v>97</v>
      </c>
      <c r="M66" s="86">
        <v>17</v>
      </c>
      <c r="N66" s="87">
        <v>2.1</v>
      </c>
      <c r="O66" s="79">
        <f t="shared" si="5"/>
        <v>0.005649945098039216</v>
      </c>
    </row>
    <row r="67" spans="12:15" ht="14.25">
      <c r="L67" s="81" t="s">
        <v>98</v>
      </c>
      <c r="M67" s="88">
        <v>34</v>
      </c>
      <c r="N67" s="89">
        <v>4.2</v>
      </c>
      <c r="O67" s="79">
        <f t="shared" si="5"/>
        <v>0.002824972549019608</v>
      </c>
    </row>
    <row r="68" spans="12:15" ht="14.25">
      <c r="L68" s="81" t="s">
        <v>99</v>
      </c>
      <c r="M68" s="88">
        <v>66</v>
      </c>
      <c r="N68" s="89">
        <v>8.3</v>
      </c>
      <c r="O68" s="79">
        <f t="shared" si="5"/>
        <v>0.0014552888888888888</v>
      </c>
    </row>
    <row r="69" spans="12:15" ht="14.25">
      <c r="L69" s="81" t="s">
        <v>100</v>
      </c>
      <c r="M69" s="88">
        <v>34</v>
      </c>
      <c r="N69" s="89">
        <v>4.2</v>
      </c>
      <c r="O69" s="79">
        <f t="shared" si="5"/>
        <v>0.002824972549019608</v>
      </c>
    </row>
    <row r="70" spans="12:15" ht="14.25">
      <c r="L70" s="81" t="s">
        <v>101</v>
      </c>
      <c r="M70" s="88">
        <v>106</v>
      </c>
      <c r="N70" s="89">
        <v>13.3</v>
      </c>
      <c r="O70" s="79">
        <f t="shared" si="5"/>
        <v>0.0009061232704402516</v>
      </c>
    </row>
    <row r="71" spans="12:15" ht="14.25">
      <c r="L71" s="82" t="s">
        <v>102</v>
      </c>
      <c r="M71" s="90">
        <v>134</v>
      </c>
      <c r="N71" s="91">
        <v>16.7</v>
      </c>
      <c r="O71" s="69">
        <f t="shared" si="5"/>
        <v>0.0007167840796019901</v>
      </c>
    </row>
    <row r="72" spans="12:15" ht="14.25">
      <c r="L72" s="80" t="s">
        <v>90</v>
      </c>
      <c r="M72" s="86">
        <v>134</v>
      </c>
      <c r="N72" s="92">
        <v>16.7</v>
      </c>
      <c r="O72" s="79">
        <f t="shared" si="5"/>
        <v>0.0007167840796019901</v>
      </c>
    </row>
    <row r="73" spans="12:15" ht="14.25">
      <c r="L73" s="81" t="s">
        <v>91</v>
      </c>
      <c r="M73" s="88">
        <v>200</v>
      </c>
      <c r="N73" s="93">
        <v>25</v>
      </c>
      <c r="O73" s="79">
        <f t="shared" si="5"/>
        <v>0.00048024533333333334</v>
      </c>
    </row>
    <row r="74" spans="12:15" ht="14.25">
      <c r="L74" s="81" t="s">
        <v>93</v>
      </c>
      <c r="M74" s="88">
        <v>266</v>
      </c>
      <c r="N74" s="93">
        <v>33.3</v>
      </c>
      <c r="O74" s="79">
        <f t="shared" si="5"/>
        <v>0.00036108671679197993</v>
      </c>
    </row>
    <row r="75" spans="12:15" ht="14.25">
      <c r="L75" s="81" t="s">
        <v>92</v>
      </c>
      <c r="M75" s="88">
        <v>355</v>
      </c>
      <c r="N75" s="93">
        <v>44.4</v>
      </c>
      <c r="O75" s="79">
        <f t="shared" si="5"/>
        <v>0.0002705607511737089</v>
      </c>
    </row>
    <row r="76" spans="12:15" ht="14.25">
      <c r="L76" s="81" t="s">
        <v>94</v>
      </c>
      <c r="M76" s="88">
        <v>534</v>
      </c>
      <c r="N76" s="93">
        <v>66.7</v>
      </c>
      <c r="O76" s="79">
        <f t="shared" si="5"/>
        <v>0.00017986716604244694</v>
      </c>
    </row>
    <row r="77" spans="12:15" ht="14.25">
      <c r="L77" s="81" t="s">
        <v>95</v>
      </c>
      <c r="M77" s="88">
        <v>800</v>
      </c>
      <c r="N77" s="93">
        <v>100</v>
      </c>
      <c r="O77" s="79">
        <f t="shared" si="5"/>
        <v>0.00012006133333333334</v>
      </c>
    </row>
    <row r="78" spans="12:15" ht="14.25">
      <c r="L78" s="82" t="s">
        <v>96</v>
      </c>
      <c r="M78" s="90">
        <f>N78*8</f>
        <v>1064</v>
      </c>
      <c r="N78" s="91">
        <v>133</v>
      </c>
      <c r="O78" s="69">
        <f t="shared" si="5"/>
        <v>9.027167919799498E-05</v>
      </c>
    </row>
    <row r="79" ht="14.25">
      <c r="O79" s="70" t="s">
        <v>78</v>
      </c>
    </row>
    <row r="80" ht="14.25">
      <c r="L80" s="21" t="s">
        <v>116</v>
      </c>
    </row>
    <row r="81" spans="12:15" ht="14.25">
      <c r="L81" s="80" t="s">
        <v>115</v>
      </c>
      <c r="M81" s="86">
        <v>100</v>
      </c>
      <c r="N81" s="87">
        <f>M81/8</f>
        <v>12.5</v>
      </c>
      <c r="O81" s="78">
        <f aca="true" t="shared" si="6" ref="O81:O87">(B$5/1000000+B$6/1000+B$7)/M81*8/60</f>
        <v>0.0009604906666666667</v>
      </c>
    </row>
    <row r="82" spans="12:15" ht="14.25">
      <c r="L82" s="81" t="s">
        <v>117</v>
      </c>
      <c r="M82" s="88">
        <v>200</v>
      </c>
      <c r="N82" s="89">
        <f aca="true" t="shared" si="7" ref="N82:N87">M82/8</f>
        <v>25</v>
      </c>
      <c r="O82" s="79">
        <f t="shared" si="6"/>
        <v>0.00048024533333333334</v>
      </c>
    </row>
    <row r="83" spans="12:15" ht="14.25">
      <c r="L83" s="81" t="s">
        <v>118</v>
      </c>
      <c r="M83" s="88">
        <v>400</v>
      </c>
      <c r="N83" s="89">
        <f t="shared" si="7"/>
        <v>50</v>
      </c>
      <c r="O83" s="79">
        <f t="shared" si="6"/>
        <v>0.00024012266666666667</v>
      </c>
    </row>
    <row r="84" spans="12:15" ht="14.25">
      <c r="L84" s="81" t="s">
        <v>119</v>
      </c>
      <c r="M84" s="88">
        <v>800</v>
      </c>
      <c r="N84" s="89">
        <f t="shared" si="7"/>
        <v>100</v>
      </c>
      <c r="O84" s="79">
        <f t="shared" si="6"/>
        <v>0.00012006133333333334</v>
      </c>
    </row>
    <row r="85" spans="12:15" ht="14.25">
      <c r="L85" s="81" t="s">
        <v>120</v>
      </c>
      <c r="M85" s="88">
        <v>1200</v>
      </c>
      <c r="N85" s="89">
        <f t="shared" si="7"/>
        <v>150</v>
      </c>
      <c r="O85" s="79">
        <f t="shared" si="6"/>
        <v>8.004088888888889E-05</v>
      </c>
    </row>
    <row r="86" spans="12:15" ht="14.25">
      <c r="L86" s="81" t="s">
        <v>121</v>
      </c>
      <c r="M86" s="88">
        <v>1600</v>
      </c>
      <c r="N86" s="89">
        <f t="shared" si="7"/>
        <v>200</v>
      </c>
      <c r="O86" s="79">
        <f t="shared" si="6"/>
        <v>6.003066666666667E-05</v>
      </c>
    </row>
    <row r="87" spans="12:15" ht="14.25">
      <c r="L87" s="82" t="s">
        <v>122</v>
      </c>
      <c r="M87" s="90">
        <v>3200</v>
      </c>
      <c r="N87" s="91">
        <f t="shared" si="7"/>
        <v>400</v>
      </c>
      <c r="O87" s="69">
        <f t="shared" si="6"/>
        <v>3.0015333333333334E-05</v>
      </c>
    </row>
  </sheetData>
  <sheetProtection/>
  <mergeCells count="9">
    <mergeCell ref="B4:C4"/>
    <mergeCell ref="Q2:S2"/>
    <mergeCell ref="H14:I14"/>
    <mergeCell ref="H15:I15"/>
    <mergeCell ref="H16:I16"/>
    <mergeCell ref="I10:J10"/>
    <mergeCell ref="I11:J11"/>
    <mergeCell ref="I12:J12"/>
    <mergeCell ref="I9:J9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B7"/>
  <sheetViews>
    <sheetView zoomScalePageLayoutView="0" workbookViewId="0" topLeftCell="A1">
      <selection activeCell="A8" sqref="A8"/>
    </sheetView>
  </sheetViews>
  <sheetFormatPr defaultColWidth="11.421875" defaultRowHeight="12.75"/>
  <sheetData>
    <row r="4" spans="1:2" ht="12.75">
      <c r="A4" t="s">
        <v>106</v>
      </c>
      <c r="B4" t="s">
        <v>105</v>
      </c>
    </row>
    <row r="5" spans="1:2" ht="12.75">
      <c r="A5" t="s">
        <v>13</v>
      </c>
      <c r="B5" t="s">
        <v>107</v>
      </c>
    </row>
    <row r="6" spans="1:2" ht="12.75">
      <c r="A6" t="s">
        <v>89</v>
      </c>
      <c r="B6" t="s">
        <v>103</v>
      </c>
    </row>
    <row r="7" spans="1:2" ht="12.75">
      <c r="A7" t="s">
        <v>104</v>
      </c>
      <c r="B7" t="s">
        <v>88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3" sqref="B3"/>
    </sheetView>
  </sheetViews>
  <sheetFormatPr defaultColWidth="11.421875" defaultRowHeight="12.75"/>
  <sheetData>
    <row r="1" ht="12.75">
      <c r="A1" t="s">
        <v>123</v>
      </c>
    </row>
    <row r="2" ht="12.75">
      <c r="B2" s="112">
        <v>150</v>
      </c>
    </row>
    <row r="3" spans="1:2" ht="12.75">
      <c r="A3" t="s">
        <v>124</v>
      </c>
      <c r="B3" s="112">
        <v>300</v>
      </c>
    </row>
    <row r="5" spans="1:2" ht="12.75">
      <c r="A5" s="111" t="s">
        <v>125</v>
      </c>
      <c r="B5" s="112">
        <v>600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2007-08-03T21:24:00Z</dcterms:created>
  <dcterms:modified xsi:type="dcterms:W3CDTF">2020-10-29T12:26:59Z</dcterms:modified>
  <cp:category/>
  <cp:version/>
  <cp:contentType/>
  <cp:contentStatus/>
</cp:coreProperties>
</file>